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tuf50834\Documents\"/>
    </mc:Choice>
  </mc:AlternateContent>
  <bookViews>
    <workbookView xWindow="0" yWindow="465" windowWidth="28800" windowHeight="15945" tabRatio="500"/>
  </bookViews>
  <sheets>
    <sheet name="Income and Expense" sheetId="1" r:id="rId1"/>
    <sheet name="Labor Costs" sheetId="2" r:id="rId2"/>
  </sheets>
  <calcPr calcId="17102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25" i="1" l="1"/>
  <c r="D25" i="1"/>
  <c r="B25" i="1"/>
  <c r="C22" i="1"/>
  <c r="D22" i="1"/>
  <c r="B22" i="1"/>
  <c r="D23" i="1"/>
  <c r="C23" i="1"/>
  <c r="D24" i="1"/>
  <c r="J4" i="1"/>
  <c r="J5" i="1"/>
  <c r="J6" i="1"/>
  <c r="I8" i="1"/>
  <c r="I18" i="1"/>
  <c r="I19" i="1"/>
  <c r="I13" i="1"/>
  <c r="I14" i="1"/>
  <c r="K8" i="1"/>
  <c r="J9" i="1"/>
  <c r="K9" i="1"/>
  <c r="K18" i="1"/>
  <c r="K19" i="1"/>
  <c r="K20" i="1"/>
  <c r="K21" i="1"/>
  <c r="K17" i="1"/>
  <c r="K22" i="1"/>
  <c r="D6" i="1"/>
  <c r="K11" i="1"/>
  <c r="K12" i="1"/>
  <c r="K13" i="1"/>
  <c r="K14" i="1"/>
  <c r="D5" i="1"/>
  <c r="D7" i="1"/>
  <c r="D33" i="1"/>
  <c r="D32" i="1"/>
  <c r="D20" i="1"/>
  <c r="D21" i="1"/>
  <c r="D19" i="1"/>
  <c r="D17" i="1"/>
  <c r="D18" i="1"/>
  <c r="D16" i="1"/>
  <c r="B13" i="1"/>
  <c r="C13" i="1"/>
  <c r="D13" i="1"/>
  <c r="D12" i="1"/>
  <c r="D27" i="1"/>
  <c r="D28" i="1"/>
  <c r="D29" i="1"/>
  <c r="D30" i="1"/>
  <c r="D31" i="1"/>
  <c r="D35" i="1"/>
  <c r="D36" i="1"/>
  <c r="D34" i="1"/>
  <c r="D38" i="1"/>
  <c r="D39" i="1"/>
  <c r="D41" i="1"/>
  <c r="I21" i="1"/>
  <c r="I22" i="1"/>
  <c r="B6" i="1"/>
  <c r="B5" i="1"/>
  <c r="B7" i="1"/>
  <c r="B32" i="1"/>
  <c r="B19" i="1"/>
  <c r="B16" i="1"/>
  <c r="B31" i="1"/>
  <c r="B37" i="1"/>
  <c r="B34" i="1"/>
  <c r="B38" i="1"/>
  <c r="B39" i="1"/>
  <c r="B41" i="1"/>
  <c r="J8" i="1"/>
  <c r="J18" i="1"/>
  <c r="J19" i="1"/>
  <c r="J20" i="1"/>
  <c r="J21" i="1"/>
  <c r="J17" i="1"/>
  <c r="J22" i="1"/>
  <c r="C6" i="1"/>
  <c r="J11" i="1"/>
  <c r="J12" i="1"/>
  <c r="J13" i="1"/>
  <c r="J14" i="1"/>
  <c r="C5" i="1"/>
  <c r="C7" i="1"/>
  <c r="C33" i="1"/>
  <c r="C32" i="1"/>
  <c r="C20" i="1"/>
  <c r="C21" i="1"/>
  <c r="C19" i="1"/>
  <c r="C17" i="1"/>
  <c r="C18" i="1"/>
  <c r="C16" i="1"/>
  <c r="C12" i="1"/>
  <c r="C27" i="1"/>
  <c r="C28" i="1"/>
  <c r="C29" i="1"/>
  <c r="C30" i="1"/>
  <c r="C31" i="1"/>
  <c r="C35" i="1"/>
  <c r="C36" i="1"/>
  <c r="C34" i="1"/>
  <c r="C38" i="1"/>
  <c r="C39" i="1"/>
  <c r="C41" i="1"/>
  <c r="B43" i="1"/>
  <c r="C6" i="2"/>
  <c r="C3" i="1"/>
  <c r="D3" i="1"/>
  <c r="B3" i="1"/>
  <c r="D8" i="1"/>
  <c r="C8" i="1"/>
  <c r="K4" i="1"/>
  <c r="K5" i="1"/>
  <c r="K6" i="1"/>
  <c r="I6" i="1"/>
  <c r="K7" i="1"/>
  <c r="J7" i="1"/>
</calcChain>
</file>

<file path=xl/comments1.xml><?xml version="1.0" encoding="utf-8"?>
<comments xmlns="http://schemas.openxmlformats.org/spreadsheetml/2006/main">
  <authors>
    <author>Microsoft Office User</author>
  </authors>
  <commentList>
    <comment ref="H4" authorId="0" shapeId="0">
      <text>
        <r>
          <rPr>
            <b/>
            <sz val="10"/>
            <color rgb="FF000000"/>
            <rFont val="Tahoma"/>
            <family val="2"/>
          </rPr>
          <t xml:space="preserve">Matt:
</t>
        </r>
        <r>
          <rPr>
            <sz val="10"/>
            <color rgb="FF000000"/>
            <rFont val="Tahoma"/>
            <family val="2"/>
          </rPr>
          <t>http://www.phila.gov/CityPlanning/aboutus/planningservices/Documents/2015_Parking_Study.pdf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H5" authorId="0" shapeId="0">
      <text>
        <r>
          <rPr>
            <b/>
            <sz val="10"/>
            <color rgb="FF000000"/>
            <rFont val="Tahoma"/>
            <family val="2"/>
          </rPr>
          <t xml:space="preserve">Matt: 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http://www.phila.gov/CityPlanning/aboutus/planningservices/Documents/2015_Parking_Study.pdf
</t>
        </r>
      </text>
    </comment>
    <comment ref="H7" authorId="0" shapeId="0">
      <text>
        <r>
          <rPr>
            <b/>
            <sz val="10"/>
            <color rgb="FF000000"/>
            <rFont val="Tahoma"/>
            <family val="2"/>
          </rPr>
          <t xml:space="preserve">Matt:
</t>
        </r>
        <r>
          <rPr>
            <b/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Conservatively assume that parking spots are exchanged by different drivers on average once a day
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H9" authorId="0" shapeId="0">
      <text>
        <r>
          <rPr>
            <b/>
            <sz val="10"/>
            <color rgb="FF000000"/>
            <rFont val="Tahoma"/>
            <family val="2"/>
          </rPr>
          <t>Matt: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Conservative estimate
</t>
        </r>
      </text>
    </comment>
    <comment ref="H10" authorId="0" shapeId="0">
      <text>
        <r>
          <rPr>
            <b/>
            <sz val="10"/>
            <color rgb="FF000000"/>
            <rFont val="Tahoma"/>
            <family val="2"/>
          </rPr>
          <t>Matt: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Network effect will spurn growth
</t>
        </r>
      </text>
    </comment>
    <comment ref="H11" authorId="0" shapeId="0">
      <text>
        <r>
          <rPr>
            <b/>
            <sz val="10"/>
            <color rgb="FF000000"/>
            <rFont val="Tahoma"/>
            <family val="2"/>
          </rPr>
          <t>Matt: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Assume lower average price to account for majority of short-term parking - conservative estimates
</t>
        </r>
      </text>
    </comment>
    <comment ref="A12" authorId="0" shapeId="0">
      <text>
        <r>
          <rPr>
            <b/>
            <sz val="10"/>
            <color rgb="FF000000"/>
            <rFont val="Tahoma"/>
            <family val="2"/>
          </rPr>
          <t xml:space="preserve">Matt:
</t>
        </r>
        <r>
          <rPr>
            <b/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https://www.itproportal.com/2016/01/27/waze-launches-a-free-sdk-for-all-developers/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H12" authorId="0" shapeId="0">
      <text>
        <r>
          <rPr>
            <b/>
            <sz val="10"/>
            <color rgb="FF000000"/>
            <rFont val="Tahoma"/>
            <family val="2"/>
          </rPr>
          <t>Matt: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Airbnb charges between 3-6%</t>
        </r>
      </text>
    </comment>
    <comment ref="A13" authorId="0" shapeId="0">
      <text>
        <r>
          <rPr>
            <b/>
            <sz val="10"/>
            <color rgb="FF000000"/>
            <rFont val="Tahoma"/>
            <family val="2"/>
          </rPr>
          <t xml:space="preserve">Matt: 
</t>
        </r>
        <r>
          <rPr>
            <b/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https://jungleworks.co/maps-api-mobile-app-guide-google-mapbox-openstreet-pricing/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H13" authorId="0" shapeId="0">
      <text>
        <r>
          <rPr>
            <b/>
            <sz val="10"/>
            <color rgb="FF000000"/>
            <rFont val="Tahoma"/>
            <family val="2"/>
          </rPr>
          <t xml:space="preserve">Matt:
</t>
        </r>
        <r>
          <rPr>
            <b/>
            <sz val="10"/>
            <color rgb="FF000000"/>
            <rFont val="Tahoma"/>
            <family val="2"/>
          </rPr>
          <t xml:space="preserve">
</t>
        </r>
        <r>
          <rPr>
            <b/>
            <sz val="10"/>
            <color rgb="FF000000"/>
            <rFont val="Tahoma"/>
            <family val="2"/>
          </rPr>
          <t>Year 1 only includes 9 months because of time to build app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H17" authorId="0" shapeId="0">
      <text>
        <r>
          <rPr>
            <b/>
            <sz val="10"/>
            <color rgb="FF000000"/>
            <rFont val="Tahoma"/>
            <family val="2"/>
          </rPr>
          <t>Matt: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Conservative Estimate
</t>
        </r>
      </text>
    </comment>
    <comment ref="A18" authorId="0" shapeId="0">
      <text>
        <r>
          <rPr>
            <b/>
            <sz val="10"/>
            <color rgb="FF000000"/>
            <rFont val="Tahoma"/>
            <family val="2"/>
          </rPr>
          <t>Matt: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https://developers.google.com/maps/documentation/distance-matrix/usage-limits</t>
        </r>
      </text>
    </comment>
    <comment ref="H19" authorId="0" shapeId="0">
      <text>
        <r>
          <rPr>
            <b/>
            <sz val="10"/>
            <color rgb="FF000000"/>
            <rFont val="Tahoma"/>
            <family val="2"/>
          </rPr>
          <t xml:space="preserve">Matt:
</t>
        </r>
        <r>
          <rPr>
            <b/>
            <sz val="10"/>
            <color rgb="FF000000"/>
            <rFont val="Tahoma"/>
            <family val="2"/>
          </rPr>
          <t xml:space="preserve">
</t>
        </r>
        <r>
          <rPr>
            <b/>
            <sz val="10"/>
            <color rgb="FF000000"/>
            <rFont val="Tahoma"/>
            <family val="2"/>
          </rPr>
          <t>Year 1 only includes 9 months because of time to build app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H20" authorId="0" shapeId="0">
      <text>
        <r>
          <rPr>
            <b/>
            <sz val="10"/>
            <color rgb="FF000000"/>
            <rFont val="Tahoma"/>
            <family val="2"/>
          </rPr>
          <t>Matt: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Conservative Estimate</t>
        </r>
      </text>
    </comment>
    <comment ref="A27" authorId="0" shapeId="0">
      <text>
        <r>
          <rPr>
            <b/>
            <sz val="10"/>
            <color rgb="FF000000"/>
            <rFont val="Tahoma"/>
            <family val="2"/>
          </rPr>
          <t xml:space="preserve">Matt:
</t>
        </r>
        <r>
          <rPr>
            <b/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https://aws.amazon.com/ec2/pricing/reserved-instances/pricing/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A28" authorId="0" shapeId="0">
      <text>
        <r>
          <rPr>
            <b/>
            <sz val="10"/>
            <color rgb="FF000000"/>
            <rFont val="Tahoma"/>
            <family val="2"/>
          </rPr>
          <t xml:space="preserve">Matt:
</t>
        </r>
        <r>
          <rPr>
            <b/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https://aws.amazon.com/rds/postgresql/pricing/
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A29" authorId="0" shapeId="0">
      <text>
        <r>
          <rPr>
            <b/>
            <sz val="10"/>
            <color rgb="FF000000"/>
            <rFont val="Tahoma"/>
            <family val="2"/>
          </rPr>
          <t xml:space="preserve">Matt:
</t>
        </r>
        <r>
          <rPr>
            <b/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https://aws.amazon.com/elasticache/pricing/
</t>
        </r>
      </text>
    </comment>
    <comment ref="A30" authorId="0" shapeId="0">
      <text>
        <r>
          <rPr>
            <b/>
            <sz val="10"/>
            <color rgb="FF000000"/>
            <rFont val="Tahoma"/>
            <family val="2"/>
          </rPr>
          <t xml:space="preserve">Matt:
</t>
        </r>
        <r>
          <rPr>
            <b/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https://aws.amazon.com/api-gateway/pricing/</t>
        </r>
      </text>
    </comment>
    <comment ref="A33" authorId="0" shapeId="0">
      <text>
        <r>
          <rPr>
            <b/>
            <sz val="10"/>
            <color rgb="FF000000"/>
            <rFont val="Tahoma"/>
            <family val="2"/>
          </rPr>
          <t xml:space="preserve">Matt:
</t>
        </r>
        <r>
          <rPr>
            <b/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https://blog.quiet.ly/industry/a-simple-guide-for-startups-to-determine-your-marketing-budget/</t>
        </r>
      </text>
    </comment>
    <comment ref="A35" authorId="0" shapeId="0">
      <text>
        <r>
          <rPr>
            <b/>
            <sz val="10"/>
            <color rgb="FF000000"/>
            <rFont val="Tahoma"/>
            <family val="2"/>
          </rPr>
          <t>Matt: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Assume team members will be only full time employees to start and double each year
</t>
        </r>
      </text>
    </comment>
    <comment ref="A37" authorId="0" shapeId="0">
      <text>
        <r>
          <rPr>
            <b/>
            <sz val="10"/>
            <color rgb="FF000000"/>
            <rFont val="Tahoma"/>
            <family val="2"/>
          </rPr>
          <t xml:space="preserve">Matt:
</t>
        </r>
        <r>
          <rPr>
            <b/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See Labor Costs Tab
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A40" authorId="0" shapeId="0">
      <text>
        <r>
          <rPr>
            <b/>
            <sz val="10"/>
            <color rgb="FF000000"/>
            <rFont val="Tahoma"/>
            <family val="2"/>
          </rPr>
          <t xml:space="preserve">Matt:
</t>
        </r>
        <r>
          <rPr>
            <b/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https://www.forbes.com/sites/kellyphillipserb/2017/12/22/what-tax-reform-means-for-small-businesses-pass-through-entities/#11b82aa86de3</t>
        </r>
        <r>
          <rPr>
            <sz val="10"/>
            <color rgb="FF000000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Microsoft Office User</author>
  </authors>
  <commentList>
    <comment ref="A3" authorId="0" shapeId="0">
      <text>
        <r>
          <rPr>
            <b/>
            <sz val="10"/>
            <color rgb="FF000000"/>
            <rFont val="Tahoma"/>
            <family val="2"/>
          </rPr>
          <t>Matt: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75th percentile developer; 3 month long</t>
        </r>
      </text>
    </comment>
    <comment ref="A4" authorId="0" shapeId="0">
      <text>
        <r>
          <rPr>
            <b/>
            <sz val="10"/>
            <color rgb="FF000000"/>
            <rFont val="Tahoma"/>
            <family val="2"/>
          </rPr>
          <t>Matt: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High end of range; 5 weeks
</t>
        </r>
        <r>
          <rPr>
            <sz val="10"/>
            <color rgb="FF000000"/>
            <rFont val="Tahoma"/>
            <family val="2"/>
          </rPr>
          <t xml:space="preserve">https://www.upwork.com/hiring/mobile/cost-to-hire-a-mobile-developer/
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A5" authorId="0" shapeId="0">
      <text>
        <r>
          <rPr>
            <b/>
            <sz val="10"/>
            <color rgb="FF000000"/>
            <rFont val="Tahoma"/>
            <family val="2"/>
          </rPr>
          <t xml:space="preserve">Matt:
</t>
        </r>
        <r>
          <rPr>
            <b/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75th percentile PM; 3 months long
</t>
        </r>
      </text>
    </comment>
  </commentList>
</comments>
</file>

<file path=xl/sharedStrings.xml><?xml version="1.0" encoding="utf-8"?>
<sst xmlns="http://schemas.openxmlformats.org/spreadsheetml/2006/main" count="75" uniqueCount="73">
  <si>
    <t>Year 1</t>
    <phoneticPr fontId="1" type="noConversion"/>
  </si>
  <si>
    <t>Year 2</t>
    <phoneticPr fontId="1" type="noConversion"/>
  </si>
  <si>
    <t>Year 3</t>
    <phoneticPr fontId="1" type="noConversion"/>
  </si>
  <si>
    <t>Expenses</t>
    <phoneticPr fontId="1" type="noConversion"/>
  </si>
  <si>
    <t>Gross Income</t>
    <phoneticPr fontId="1" type="noConversion"/>
  </si>
  <si>
    <t>Total Income</t>
  </si>
  <si>
    <t>Job description</t>
  </si>
  <si>
    <t>Hourly Rate</t>
  </si>
  <si>
    <t>General developer</t>
  </si>
  <si>
    <t>Mobile application developer</t>
  </si>
  <si>
    <t>Projct Manager</t>
  </si>
  <si>
    <t>Reference Source(s) for Rate</t>
  </si>
  <si>
    <t>Estimated Hours</t>
  </si>
  <si>
    <t>Transaction Revenue</t>
  </si>
  <si>
    <t>Location-based Advertising Revenue</t>
  </si>
  <si>
    <t>Transaction Revenue Forecasts</t>
  </si>
  <si>
    <t>Year 1</t>
  </si>
  <si>
    <t>Year 2</t>
  </si>
  <si>
    <t>Year 3</t>
  </si>
  <si>
    <t>Center City Public Parking Spots</t>
  </si>
  <si>
    <t>Center City Occupancy Rate</t>
  </si>
  <si>
    <t>Average Number of Spots Occupied</t>
  </si>
  <si>
    <t>Turnover Rate (Per Day)</t>
  </si>
  <si>
    <t>Addressable Public Parking Market (Spots Per Day)</t>
  </si>
  <si>
    <t>Market Share</t>
  </si>
  <si>
    <t>Revenue Per Day</t>
  </si>
  <si>
    <t>Average Transaction Price</t>
  </si>
  <si>
    <t>Average Transaction Fee</t>
  </si>
  <si>
    <t>Total Transaction Revenue</t>
  </si>
  <si>
    <t xml:space="preserve">  Yearly Growth Rate in Market Share</t>
  </si>
  <si>
    <t>Location-based Advertising Revenue Forecasts</t>
  </si>
  <si>
    <t>CPM (Cost Per Thousand Impressions)</t>
  </si>
  <si>
    <t>Daily User Interactions with App</t>
  </si>
  <si>
    <t>Yearly Interactions</t>
  </si>
  <si>
    <t>% of Interactions Involving Ad Clicks</t>
  </si>
  <si>
    <t>Total Impressions</t>
  </si>
  <si>
    <t>Revenue from Ads</t>
  </si>
  <si>
    <t>YoY Growth (%)</t>
  </si>
  <si>
    <t>Operating Expenses</t>
  </si>
  <si>
    <t xml:space="preserve">  Waze API</t>
  </si>
  <si>
    <t xml:space="preserve">  Roads API</t>
  </si>
  <si>
    <t>Hosting Fees</t>
  </si>
  <si>
    <t xml:space="preserve">  AWS RDS</t>
  </si>
  <si>
    <t xml:space="preserve">  AWS MemCache</t>
  </si>
  <si>
    <t>Total Operating Expenses</t>
  </si>
  <si>
    <t>Total Hosting Expenses</t>
  </si>
  <si>
    <t>Salaries &amp; Wages</t>
  </si>
  <si>
    <t>Operating Profit</t>
  </si>
  <si>
    <t>Net Income</t>
  </si>
  <si>
    <t xml:space="preserve">  Google Maps API (150,000 free views/day)</t>
  </si>
  <si>
    <t xml:space="preserve">    Views over 150,000/day</t>
  </si>
  <si>
    <t xml:space="preserve">    Cost per 1,000 views</t>
  </si>
  <si>
    <t xml:space="preserve">  Distance Matrix API (2,500 free requests/day)</t>
  </si>
  <si>
    <t xml:space="preserve">    Cost per 1,000 requests</t>
  </si>
  <si>
    <t xml:space="preserve">    Requests over 2,500/day (max. 100,000 requests/day)</t>
  </si>
  <si>
    <t xml:space="preserve">  AWS EC2</t>
  </si>
  <si>
    <t xml:space="preserve">  AWS Gateway (Free under 1,000,000 calls)</t>
  </si>
  <si>
    <t xml:space="preserve">Sales, Marketing, &amp; Advertising </t>
  </si>
  <si>
    <t xml:space="preserve">  Budget as % of Revenue</t>
  </si>
  <si>
    <t xml:space="preserve">  Full Time Employees</t>
  </si>
  <si>
    <t xml:space="preserve">  Full Time Employee Average Salary</t>
  </si>
  <si>
    <t xml:space="preserve">Taxes </t>
  </si>
  <si>
    <t xml:space="preserve">  Tax Rate</t>
  </si>
  <si>
    <t>https://www.upwork.com/hiring/mobile/cost-to-hire-a-mobile-developer/</t>
  </si>
  <si>
    <t>https://www1.salary.com/Project-Management-Manager-hourly-wages.html</t>
  </si>
  <si>
    <t>Total Cost</t>
  </si>
  <si>
    <t>https://www1.salary.com/Software-Engineer-I-hourly-wages.html</t>
  </si>
  <si>
    <t xml:space="preserve">  Development Cost</t>
  </si>
  <si>
    <t>Net Present Value</t>
  </si>
  <si>
    <t>Required Rate of Return</t>
  </si>
  <si>
    <t xml:space="preserve">  SMS Short Code</t>
  </si>
  <si>
    <t xml:space="preserve">    Monthly Lease</t>
  </si>
  <si>
    <t xml:space="preserve">    Months Needed to Lease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</si>
</sst>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\x"/>
    <numFmt numFmtId="166" formatCode="&quot;$&quot;#,##0.00"/>
    <numFmt numFmtId="167" formatCode="_(&quot;$&quot;* #,##0_);_(&quot;$&quot;* \(#,##0\);_(&quot;$&quot;* &quot;-&quot;??_);_(@_)"/>
  </numFmts>
  <fonts count="9" x14ac:knownFonts="1">
    <font>
      <sz val="10"/>
      <name val="Verdana"/>
    </font>
    <font>
      <sz val="8"/>
      <name val="Verdana"/>
      <family val="2"/>
    </font>
    <font>
      <sz val="10"/>
      <name val="Verdana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4"/>
      <name val="Garamond"/>
      <family val="1"/>
    </font>
    <font>
      <b/>
      <sz val="14"/>
      <name val="Garamond"/>
      <family val="1"/>
    </font>
    <font>
      <sz val="14"/>
      <color rgb="FF005FFB"/>
      <name val="Garamond"/>
      <family val="1"/>
    </font>
    <font>
      <sz val="14"/>
      <color theme="1"/>
      <name val="Garamond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0">
    <xf numFmtId="0" fontId="0" fillId="0" borderId="0" xfId="0"/>
    <xf numFmtId="0" fontId="5" fillId="0" borderId="0" xfId="0" applyFont="1"/>
    <xf numFmtId="0" fontId="6" fillId="0" borderId="0" xfId="0" applyFont="1"/>
    <xf numFmtId="164" fontId="5" fillId="0" borderId="0" xfId="1" applyNumberFormat="1" applyFont="1"/>
    <xf numFmtId="8" fontId="5" fillId="0" borderId="0" xfId="0" applyNumberFormat="1" applyFont="1"/>
    <xf numFmtId="10" fontId="5" fillId="0" borderId="0" xfId="0" applyNumberFormat="1" applyFont="1"/>
    <xf numFmtId="0" fontId="5" fillId="0" borderId="0" xfId="0" applyFont="1" applyAlignment="1">
      <alignment horizontal="right"/>
    </xf>
    <xf numFmtId="165" fontId="5" fillId="0" borderId="0" xfId="0" applyNumberFormat="1" applyFont="1"/>
    <xf numFmtId="164" fontId="5" fillId="0" borderId="0" xfId="0" applyNumberFormat="1" applyFont="1"/>
    <xf numFmtId="9" fontId="5" fillId="0" borderId="0" xfId="0" applyNumberFormat="1" applyFont="1"/>
    <xf numFmtId="10" fontId="5" fillId="0" borderId="0" xfId="3" applyNumberFormat="1" applyFont="1"/>
    <xf numFmtId="6" fontId="5" fillId="0" borderId="0" xfId="0" applyNumberFormat="1" applyFont="1"/>
    <xf numFmtId="0" fontId="6" fillId="0" borderId="0" xfId="0" applyFont="1" applyAlignment="1">
      <alignment horizontal="right"/>
    </xf>
    <xf numFmtId="164" fontId="7" fillId="0" borderId="0" xfId="1" applyNumberFormat="1" applyFont="1"/>
    <xf numFmtId="10" fontId="7" fillId="0" borderId="0" xfId="0" applyNumberFormat="1" applyFont="1"/>
    <xf numFmtId="165" fontId="7" fillId="0" borderId="0" xfId="0" applyNumberFormat="1" applyFont="1"/>
    <xf numFmtId="9" fontId="7" fillId="0" borderId="0" xfId="0" applyNumberFormat="1" applyFont="1"/>
    <xf numFmtId="10" fontId="7" fillId="0" borderId="0" xfId="3" applyNumberFormat="1" applyFont="1"/>
    <xf numFmtId="6" fontId="7" fillId="0" borderId="0" xfId="0" applyNumberFormat="1" applyFont="1"/>
    <xf numFmtId="0" fontId="7" fillId="0" borderId="0" xfId="0" applyFont="1"/>
    <xf numFmtId="8" fontId="7" fillId="0" borderId="0" xfId="0" applyNumberFormat="1" applyFont="1"/>
    <xf numFmtId="44" fontId="5" fillId="0" borderId="0" xfId="2" applyFont="1"/>
    <xf numFmtId="44" fontId="5" fillId="0" borderId="0" xfId="0" applyNumberFormat="1" applyFont="1"/>
    <xf numFmtId="9" fontId="5" fillId="0" borderId="0" xfId="3" applyNumberFormat="1" applyFont="1"/>
    <xf numFmtId="44" fontId="6" fillId="0" borderId="0" xfId="0" applyNumberFormat="1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4" fontId="5" fillId="0" borderId="0" xfId="0" applyNumberFormat="1" applyFont="1"/>
    <xf numFmtId="166" fontId="7" fillId="0" borderId="0" xfId="0" applyNumberFormat="1" applyFont="1"/>
    <xf numFmtId="166" fontId="5" fillId="0" borderId="0" xfId="0" applyNumberFormat="1" applyFont="1"/>
    <xf numFmtId="166" fontId="5" fillId="0" borderId="0" xfId="2" applyNumberFormat="1" applyFont="1"/>
    <xf numFmtId="166" fontId="5" fillId="0" borderId="0" xfId="1" applyNumberFormat="1" applyFont="1"/>
    <xf numFmtId="166" fontId="7" fillId="0" borderId="0" xfId="2" applyNumberFormat="1" applyFont="1"/>
    <xf numFmtId="3" fontId="7" fillId="0" borderId="0" xfId="0" applyNumberFormat="1" applyFont="1"/>
    <xf numFmtId="8" fontId="8" fillId="0" borderId="0" xfId="0" applyNumberFormat="1" applyFont="1"/>
    <xf numFmtId="0" fontId="6" fillId="0" borderId="0" xfId="0" applyFont="1" applyAlignment="1">
      <alignment horizontal="center"/>
    </xf>
    <xf numFmtId="167" fontId="5" fillId="0" borderId="0" xfId="2" applyNumberFormat="1" applyFont="1"/>
    <xf numFmtId="0" fontId="8" fillId="0" borderId="0" xfId="0" applyFont="1"/>
    <xf numFmtId="2" fontId="7" fillId="0" borderId="0" xfId="0" applyNumberFormat="1" applyFont="1"/>
    <xf numFmtId="2" fontId="5" fillId="0" borderId="0" xfId="0" applyNumberFormat="1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/>
  <colors>
    <mruColors>
      <color rgb="FF005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4"/>
  <sheetViews>
    <sheetView tabSelected="1" topLeftCell="A22" zoomScale="110" zoomScaleNormal="110" workbookViewId="0">
      <selection activeCell="E41" sqref="E41"/>
    </sheetView>
  </sheetViews>
  <sheetFormatPr defaultColWidth="11" defaultRowHeight="18.75" x14ac:dyDescent="0.3"/>
  <cols>
    <col min="1" max="1" width="55.375" style="1" bestFit="1" customWidth="1"/>
    <col min="2" max="2" width="14.375" style="1" bestFit="1" customWidth="1"/>
    <col min="3" max="4" width="15.5" style="1" bestFit="1" customWidth="1"/>
    <col min="5" max="7" width="11" style="1"/>
    <col min="8" max="8" width="50" style="1" bestFit="1" customWidth="1"/>
    <col min="9" max="9" width="14.125" style="1" bestFit="1" customWidth="1"/>
    <col min="10" max="11" width="14.875" style="1" bestFit="1" customWidth="1"/>
    <col min="12" max="16384" width="11" style="1"/>
  </cols>
  <sheetData>
    <row r="1" spans="1:12" x14ac:dyDescent="0.3">
      <c r="B1" s="1" t="s">
        <v>0</v>
      </c>
      <c r="C1" s="1" t="s">
        <v>1</v>
      </c>
      <c r="D1" s="1" t="s">
        <v>2</v>
      </c>
      <c r="I1" s="1" t="s">
        <v>16</v>
      </c>
      <c r="J1" s="1" t="s">
        <v>17</v>
      </c>
      <c r="K1" s="1" t="s">
        <v>18</v>
      </c>
    </row>
    <row r="3" spans="1:12" x14ac:dyDescent="0.3">
      <c r="A3" s="2" t="s">
        <v>4</v>
      </c>
      <c r="B3" s="24">
        <f>B7</f>
        <v>289112.76240000001</v>
      </c>
      <c r="C3" s="24">
        <f t="shared" ref="C3:D3" si="0">C7</f>
        <v>481854.60399999999</v>
      </c>
      <c r="D3" s="24">
        <f t="shared" si="0"/>
        <v>650503.71539999999</v>
      </c>
      <c r="H3" s="2" t="s">
        <v>15</v>
      </c>
    </row>
    <row r="4" spans="1:12" x14ac:dyDescent="0.3">
      <c r="H4" s="1" t="s">
        <v>19</v>
      </c>
      <c r="I4" s="13">
        <v>46400</v>
      </c>
      <c r="J4" s="3">
        <f>$I$4</f>
        <v>46400</v>
      </c>
      <c r="K4" s="3">
        <f>$I$4</f>
        <v>46400</v>
      </c>
    </row>
    <row r="5" spans="1:12" x14ac:dyDescent="0.3">
      <c r="A5" s="1" t="s">
        <v>13</v>
      </c>
      <c r="B5" s="4">
        <f>I14</f>
        <v>270339.20640000002</v>
      </c>
      <c r="C5" s="4">
        <f t="shared" ref="C5:D5" si="1">J14</f>
        <v>450565.34399999998</v>
      </c>
      <c r="D5" s="4">
        <f t="shared" si="1"/>
        <v>608263.21439999994</v>
      </c>
      <c r="H5" s="1" t="s">
        <v>20</v>
      </c>
      <c r="I5" s="14">
        <v>0.73899999999999999</v>
      </c>
      <c r="J5" s="5">
        <f>$I$5</f>
        <v>0.73899999999999999</v>
      </c>
      <c r="K5" s="5">
        <f>$I$5</f>
        <v>0.73899999999999999</v>
      </c>
    </row>
    <row r="6" spans="1:12" x14ac:dyDescent="0.3">
      <c r="A6" s="1" t="s">
        <v>14</v>
      </c>
      <c r="B6" s="22">
        <f>I22</f>
        <v>18773.556</v>
      </c>
      <c r="C6" s="22">
        <f t="shared" ref="C6:D6" si="2">J22</f>
        <v>31289.26</v>
      </c>
      <c r="D6" s="22">
        <f t="shared" si="2"/>
        <v>42240.501000000004</v>
      </c>
      <c r="E6" s="22"/>
      <c r="H6" s="1" t="s">
        <v>21</v>
      </c>
      <c r="I6" s="3">
        <f>I4*I5</f>
        <v>34289.599999999999</v>
      </c>
      <c r="J6" s="3">
        <f t="shared" ref="J6:K6" si="3">J4*J5</f>
        <v>34289.599999999999</v>
      </c>
      <c r="K6" s="3">
        <f t="shared" si="3"/>
        <v>34289.599999999999</v>
      </c>
      <c r="L6" s="3"/>
    </row>
    <row r="7" spans="1:12" x14ac:dyDescent="0.3">
      <c r="A7" s="6" t="s">
        <v>5</v>
      </c>
      <c r="B7" s="22">
        <f>SUM(B6,B5)</f>
        <v>289112.76240000001</v>
      </c>
      <c r="C7" s="22">
        <f t="shared" ref="C7:D7" si="4">SUM(C6,C5)</f>
        <v>481854.60399999999</v>
      </c>
      <c r="D7" s="22">
        <f t="shared" si="4"/>
        <v>650503.71539999999</v>
      </c>
      <c r="H7" s="1" t="s">
        <v>22</v>
      </c>
      <c r="I7" s="15">
        <v>4</v>
      </c>
      <c r="J7" s="7">
        <f>$I$7</f>
        <v>4</v>
      </c>
      <c r="K7" s="7">
        <f>$I$7</f>
        <v>4</v>
      </c>
    </row>
    <row r="8" spans="1:12" x14ac:dyDescent="0.3">
      <c r="A8" s="1" t="s">
        <v>37</v>
      </c>
      <c r="C8" s="23">
        <f>(C7-B7)/B7</f>
        <v>0.66666666666666663</v>
      </c>
      <c r="D8" s="23">
        <f>(D7-C7)/C7</f>
        <v>0.35</v>
      </c>
      <c r="H8" s="1" t="s">
        <v>23</v>
      </c>
      <c r="I8" s="8">
        <f>J6*I7</f>
        <v>137158.39999999999</v>
      </c>
      <c r="J8" s="8">
        <f>$I$8</f>
        <v>137158.39999999999</v>
      </c>
      <c r="K8" s="8">
        <f>$I$8</f>
        <v>137158.39999999999</v>
      </c>
    </row>
    <row r="9" spans="1:12" x14ac:dyDescent="0.3">
      <c r="C9" s="23"/>
      <c r="D9" s="23"/>
      <c r="H9" s="1" t="s">
        <v>24</v>
      </c>
      <c r="I9" s="14">
        <v>0.02</v>
      </c>
      <c r="J9" s="10">
        <f>I9*(1+J10)</f>
        <v>2.5000000000000001E-2</v>
      </c>
      <c r="K9" s="10">
        <f>J9*(1+K10)</f>
        <v>3.3750000000000002E-2</v>
      </c>
    </row>
    <row r="10" spans="1:12" x14ac:dyDescent="0.3">
      <c r="A10" s="2" t="s">
        <v>3</v>
      </c>
      <c r="H10" s="1" t="s">
        <v>29</v>
      </c>
      <c r="I10" s="16"/>
      <c r="J10" s="17">
        <v>0.25</v>
      </c>
      <c r="K10" s="17">
        <v>0.35</v>
      </c>
    </row>
    <row r="11" spans="1:12" x14ac:dyDescent="0.3">
      <c r="A11" s="1" t="s">
        <v>38</v>
      </c>
      <c r="H11" s="1" t="s">
        <v>26</v>
      </c>
      <c r="I11" s="18">
        <v>12</v>
      </c>
      <c r="J11" s="11">
        <f>$I$11</f>
        <v>12</v>
      </c>
      <c r="K11" s="11">
        <f>$I$11</f>
        <v>12</v>
      </c>
    </row>
    <row r="12" spans="1:12" x14ac:dyDescent="0.3">
      <c r="A12" s="1" t="s">
        <v>39</v>
      </c>
      <c r="B12" s="28">
        <v>0</v>
      </c>
      <c r="C12" s="29">
        <f>$B$12</f>
        <v>0</v>
      </c>
      <c r="D12" s="29">
        <f>$B$12</f>
        <v>0</v>
      </c>
      <c r="H12" s="1" t="s">
        <v>27</v>
      </c>
      <c r="I12" s="16">
        <v>0.03</v>
      </c>
      <c r="J12" s="9">
        <f>$I$12</f>
        <v>0.03</v>
      </c>
      <c r="K12" s="9">
        <f>$I$12</f>
        <v>0.03</v>
      </c>
    </row>
    <row r="13" spans="1:12" x14ac:dyDescent="0.3">
      <c r="A13" s="1" t="s">
        <v>49</v>
      </c>
      <c r="B13" s="30">
        <f>(B14/1000)*B15*365</f>
        <v>0</v>
      </c>
      <c r="C13" s="29">
        <f>B13</f>
        <v>0</v>
      </c>
      <c r="D13" s="29">
        <f>C13</f>
        <v>0</v>
      </c>
      <c r="H13" s="1" t="s">
        <v>25</v>
      </c>
      <c r="I13" s="4">
        <f>(I8*I9)*I11*I12</f>
        <v>987.54048000000012</v>
      </c>
      <c r="J13" s="4">
        <f>(J8*J9)*J11*J12</f>
        <v>1234.4256</v>
      </c>
      <c r="K13" s="4">
        <f>(K8*K9)*K11*K12</f>
        <v>1666.4745599999999</v>
      </c>
    </row>
    <row r="14" spans="1:12" x14ac:dyDescent="0.3">
      <c r="A14" s="1" t="s">
        <v>50</v>
      </c>
      <c r="B14" s="31">
        <v>0</v>
      </c>
      <c r="C14" s="31">
        <v>0</v>
      </c>
      <c r="D14" s="31">
        <v>0</v>
      </c>
      <c r="H14" s="1" t="s">
        <v>28</v>
      </c>
      <c r="I14" s="4">
        <f>I13*365*0.75</f>
        <v>270339.20640000002</v>
      </c>
      <c r="J14" s="4">
        <f t="shared" ref="J14:K14" si="5">J13*365</f>
        <v>450565.34399999998</v>
      </c>
      <c r="K14" s="4">
        <f t="shared" si="5"/>
        <v>608263.21439999994</v>
      </c>
    </row>
    <row r="15" spans="1:12" x14ac:dyDescent="0.3">
      <c r="A15" s="1" t="s">
        <v>51</v>
      </c>
      <c r="B15" s="32">
        <v>0.5</v>
      </c>
      <c r="C15" s="32">
        <v>0.5</v>
      </c>
      <c r="D15" s="32">
        <v>0.5</v>
      </c>
    </row>
    <row r="16" spans="1:12" x14ac:dyDescent="0.3">
      <c r="A16" s="1" t="s">
        <v>52</v>
      </c>
      <c r="B16" s="4">
        <f>B17*B18/1000*365</f>
        <v>17793.75</v>
      </c>
      <c r="C16" s="4">
        <f t="shared" ref="C16:D16" si="6">C17*C18/1000*365</f>
        <v>17793.75</v>
      </c>
      <c r="D16" s="4">
        <f t="shared" si="6"/>
        <v>17793.75</v>
      </c>
      <c r="H16" s="2" t="s">
        <v>30</v>
      </c>
    </row>
    <row r="17" spans="1:11" x14ac:dyDescent="0.3">
      <c r="A17" s="1" t="s">
        <v>54</v>
      </c>
      <c r="B17" s="33">
        <v>97500</v>
      </c>
      <c r="C17" s="26">
        <f>$B$17</f>
        <v>97500</v>
      </c>
      <c r="D17" s="26">
        <f>$B$17</f>
        <v>97500</v>
      </c>
      <c r="H17" s="1" t="s">
        <v>31</v>
      </c>
      <c r="I17" s="20">
        <v>2.5</v>
      </c>
      <c r="J17" s="4">
        <f>$I$17</f>
        <v>2.5</v>
      </c>
      <c r="K17" s="4">
        <f>$I$17</f>
        <v>2.5</v>
      </c>
    </row>
    <row r="18" spans="1:11" x14ac:dyDescent="0.3">
      <c r="A18" s="1" t="s">
        <v>53</v>
      </c>
      <c r="B18" s="20">
        <v>0.5</v>
      </c>
      <c r="C18" s="34">
        <f>$B$18</f>
        <v>0.5</v>
      </c>
      <c r="D18" s="34">
        <f>$B$18</f>
        <v>0.5</v>
      </c>
      <c r="H18" s="1" t="s">
        <v>32</v>
      </c>
      <c r="I18" s="8">
        <f>I8*I9</f>
        <v>2743.1680000000001</v>
      </c>
      <c r="J18" s="8">
        <f>J8*J9</f>
        <v>3428.96</v>
      </c>
      <c r="K18" s="8">
        <f>K8*K9</f>
        <v>4629.0960000000005</v>
      </c>
    </row>
    <row r="19" spans="1:11" x14ac:dyDescent="0.3">
      <c r="A19" s="1" t="s">
        <v>40</v>
      </c>
      <c r="B19" s="27">
        <f>B20*B21/1000*365</f>
        <v>17793.75</v>
      </c>
      <c r="C19" s="27">
        <f t="shared" ref="C19:D19" si="7">C20*C21/1000*365</f>
        <v>17793.75</v>
      </c>
      <c r="D19" s="27">
        <f t="shared" si="7"/>
        <v>17793.75</v>
      </c>
      <c r="H19" s="1" t="s">
        <v>33</v>
      </c>
      <c r="I19" s="8">
        <f>I18*365*0.75</f>
        <v>750942.24</v>
      </c>
      <c r="J19" s="8">
        <f t="shared" ref="J19:K19" si="8">J18*365</f>
        <v>1251570.3999999999</v>
      </c>
      <c r="K19" s="8">
        <f t="shared" si="8"/>
        <v>1689620.0400000003</v>
      </c>
    </row>
    <row r="20" spans="1:11" x14ac:dyDescent="0.3">
      <c r="A20" s="1" t="s">
        <v>54</v>
      </c>
      <c r="B20" s="33">
        <v>97500</v>
      </c>
      <c r="C20" s="26">
        <f>$B$20</f>
        <v>97500</v>
      </c>
      <c r="D20" s="26">
        <f>$B$20</f>
        <v>97500</v>
      </c>
      <c r="H20" s="1" t="s">
        <v>34</v>
      </c>
      <c r="I20" s="16">
        <v>0.01</v>
      </c>
      <c r="J20" s="9">
        <f>$I$20</f>
        <v>0.01</v>
      </c>
      <c r="K20" s="9">
        <f>$I$20</f>
        <v>0.01</v>
      </c>
    </row>
    <row r="21" spans="1:11" x14ac:dyDescent="0.3">
      <c r="A21" s="1" t="s">
        <v>53</v>
      </c>
      <c r="B21" s="20">
        <v>0.5</v>
      </c>
      <c r="C21" s="4">
        <f>$B$21</f>
        <v>0.5</v>
      </c>
      <c r="D21" s="4">
        <f>$B$21</f>
        <v>0.5</v>
      </c>
      <c r="H21" s="1" t="s">
        <v>35</v>
      </c>
      <c r="I21" s="8">
        <f>I19*I20</f>
        <v>7509.4224000000004</v>
      </c>
      <c r="J21" s="8">
        <f t="shared" ref="J21:K21" si="9">J19*J20</f>
        <v>12515.704</v>
      </c>
      <c r="K21" s="8">
        <f t="shared" si="9"/>
        <v>16896.200400000002</v>
      </c>
    </row>
    <row r="22" spans="1:11" x14ac:dyDescent="0.3">
      <c r="A22" s="1" t="s">
        <v>70</v>
      </c>
      <c r="B22" s="34">
        <f>B23*B24</f>
        <v>9000</v>
      </c>
      <c r="C22" s="34">
        <f t="shared" ref="C22:D22" si="10">C23*C24</f>
        <v>12000</v>
      </c>
      <c r="D22" s="34">
        <f t="shared" si="10"/>
        <v>12000</v>
      </c>
      <c r="H22" s="1" t="s">
        <v>36</v>
      </c>
      <c r="I22" s="21">
        <f>I17*I21</f>
        <v>18773.556</v>
      </c>
      <c r="J22" s="21">
        <f t="shared" ref="J22:K22" si="11">J17*J21</f>
        <v>31289.26</v>
      </c>
      <c r="K22" s="21">
        <f t="shared" si="11"/>
        <v>42240.501000000004</v>
      </c>
    </row>
    <row r="23" spans="1:11" x14ac:dyDescent="0.3">
      <c r="A23" s="1" t="s">
        <v>71</v>
      </c>
      <c r="B23" s="20">
        <v>1000</v>
      </c>
      <c r="C23" s="4">
        <f>B23</f>
        <v>1000</v>
      </c>
      <c r="D23" s="4">
        <f>C23</f>
        <v>1000</v>
      </c>
    </row>
    <row r="24" spans="1:11" x14ac:dyDescent="0.3">
      <c r="A24" s="1" t="s">
        <v>72</v>
      </c>
      <c r="B24" s="38">
        <v>9</v>
      </c>
      <c r="C24" s="38">
        <v>12</v>
      </c>
      <c r="D24" s="39">
        <f>C24</f>
        <v>12</v>
      </c>
    </row>
    <row r="25" spans="1:11" x14ac:dyDescent="0.3">
      <c r="A25" s="1" t="s">
        <v>44</v>
      </c>
      <c r="B25" s="4">
        <f>B19+B16+B13+B12+B22</f>
        <v>44587.5</v>
      </c>
      <c r="C25" s="4">
        <f t="shared" ref="C25:D25" si="12">C19+C16+C13+C12+C22</f>
        <v>47587.5</v>
      </c>
      <c r="D25" s="4">
        <f t="shared" si="12"/>
        <v>47587.5</v>
      </c>
    </row>
    <row r="26" spans="1:11" x14ac:dyDescent="0.3">
      <c r="A26" s="1" t="s">
        <v>41</v>
      </c>
    </row>
    <row r="27" spans="1:11" x14ac:dyDescent="0.3">
      <c r="A27" s="25" t="s">
        <v>55</v>
      </c>
      <c r="B27" s="18">
        <v>470</v>
      </c>
      <c r="C27" s="11">
        <f>$B$27</f>
        <v>470</v>
      </c>
      <c r="D27" s="11">
        <f>$B$27</f>
        <v>470</v>
      </c>
    </row>
    <row r="28" spans="1:11" x14ac:dyDescent="0.3">
      <c r="A28" s="1" t="s">
        <v>42</v>
      </c>
      <c r="B28" s="18">
        <v>848</v>
      </c>
      <c r="C28" s="11">
        <f>$B$28</f>
        <v>848</v>
      </c>
      <c r="D28" s="11">
        <f>$B$28</f>
        <v>848</v>
      </c>
    </row>
    <row r="29" spans="1:11" x14ac:dyDescent="0.3">
      <c r="A29" s="25" t="s">
        <v>43</v>
      </c>
      <c r="B29" s="18">
        <v>308</v>
      </c>
      <c r="C29" s="11">
        <f>$B$29</f>
        <v>308</v>
      </c>
      <c r="D29" s="11">
        <f>$B$29</f>
        <v>308</v>
      </c>
    </row>
    <row r="30" spans="1:11" x14ac:dyDescent="0.3">
      <c r="A30" s="1" t="s">
        <v>56</v>
      </c>
      <c r="B30" s="18">
        <v>0</v>
      </c>
      <c r="C30" s="11">
        <f>$B$30</f>
        <v>0</v>
      </c>
      <c r="D30" s="11">
        <f>$B$30</f>
        <v>0</v>
      </c>
    </row>
    <row r="31" spans="1:11" x14ac:dyDescent="0.3">
      <c r="A31" s="1" t="s">
        <v>45</v>
      </c>
      <c r="B31" s="11">
        <f>SUM(B27:B30)</f>
        <v>1626</v>
      </c>
      <c r="C31" s="11">
        <f t="shared" ref="C31:D31" si="13">SUM(C27:C30)</f>
        <v>1626</v>
      </c>
      <c r="D31" s="11">
        <f t="shared" si="13"/>
        <v>1626</v>
      </c>
    </row>
    <row r="32" spans="1:11" x14ac:dyDescent="0.3">
      <c r="A32" s="1" t="s">
        <v>57</v>
      </c>
      <c r="B32" s="22">
        <f>B33*B7</f>
        <v>57822.552480000006</v>
      </c>
      <c r="C32" s="22">
        <f>C33*C7</f>
        <v>96370.920800000007</v>
      </c>
      <c r="D32" s="22">
        <f>D33*D7</f>
        <v>130100.74308</v>
      </c>
    </row>
    <row r="33" spans="1:4" x14ac:dyDescent="0.3">
      <c r="A33" s="1" t="s">
        <v>58</v>
      </c>
      <c r="B33" s="16">
        <v>0.2</v>
      </c>
      <c r="C33" s="9">
        <f>$B$33</f>
        <v>0.2</v>
      </c>
      <c r="D33" s="9">
        <f>$B$33</f>
        <v>0.2</v>
      </c>
    </row>
    <row r="34" spans="1:4" x14ac:dyDescent="0.3">
      <c r="A34" s="1" t="s">
        <v>46</v>
      </c>
      <c r="B34" s="36">
        <f>(B35*B36)+B37</f>
        <v>316360</v>
      </c>
      <c r="C34" s="36">
        <f t="shared" ref="C34:D34" si="14">(C35*C36)+C37</f>
        <v>250000</v>
      </c>
      <c r="D34" s="36">
        <f t="shared" si="14"/>
        <v>250000</v>
      </c>
    </row>
    <row r="35" spans="1:4" x14ac:dyDescent="0.3">
      <c r="A35" s="1" t="s">
        <v>59</v>
      </c>
      <c r="B35" s="19">
        <v>5</v>
      </c>
      <c r="C35" s="37">
        <f>$B$35</f>
        <v>5</v>
      </c>
      <c r="D35" s="37">
        <f>$B$35</f>
        <v>5</v>
      </c>
    </row>
    <row r="36" spans="1:4" x14ac:dyDescent="0.3">
      <c r="A36" s="1" t="s">
        <v>60</v>
      </c>
      <c r="B36" s="18">
        <v>50000</v>
      </c>
      <c r="C36" s="11">
        <f>$B$36</f>
        <v>50000</v>
      </c>
      <c r="D36" s="11">
        <f>$B$36</f>
        <v>50000</v>
      </c>
    </row>
    <row r="37" spans="1:4" x14ac:dyDescent="0.3">
      <c r="A37" s="1" t="s">
        <v>67</v>
      </c>
      <c r="B37" s="11">
        <f>'Labor Costs'!C6</f>
        <v>66360</v>
      </c>
      <c r="C37" s="9"/>
      <c r="D37" s="9"/>
    </row>
    <row r="38" spans="1:4" x14ac:dyDescent="0.3">
      <c r="A38" s="1" t="s">
        <v>47</v>
      </c>
      <c r="B38" s="22">
        <f>B7-B25-B31-B32-B34</f>
        <v>-131283.29008000001</v>
      </c>
      <c r="C38" s="22">
        <f>C7-C25-C31-C32-C34</f>
        <v>86270.18319999997</v>
      </c>
      <c r="D38" s="22">
        <f>D7-D25-D31-D32-D34</f>
        <v>221189.47232</v>
      </c>
    </row>
    <row r="39" spans="1:4" x14ac:dyDescent="0.3">
      <c r="A39" s="1" t="s">
        <v>61</v>
      </c>
      <c r="B39" s="21">
        <f>B38*(B40)</f>
        <v>-27569.490916800001</v>
      </c>
      <c r="C39" s="21">
        <f t="shared" ref="C39:D39" si="15">C38*(C40)</f>
        <v>18116.738471999994</v>
      </c>
      <c r="D39" s="21">
        <f t="shared" si="15"/>
        <v>46449.789187199996</v>
      </c>
    </row>
    <row r="40" spans="1:4" x14ac:dyDescent="0.3">
      <c r="A40" s="1" t="s">
        <v>62</v>
      </c>
      <c r="B40" s="16">
        <v>0.21</v>
      </c>
      <c r="C40" s="16">
        <v>0.21</v>
      </c>
      <c r="D40" s="16">
        <v>0.21</v>
      </c>
    </row>
    <row r="41" spans="1:4" x14ac:dyDescent="0.3">
      <c r="A41" s="12" t="s">
        <v>48</v>
      </c>
      <c r="B41" s="22">
        <f>B38-B39</f>
        <v>-103713.7991632</v>
      </c>
      <c r="C41" s="22">
        <f t="shared" ref="C41:D41" si="16">C38-C39</f>
        <v>68153.444727999973</v>
      </c>
      <c r="D41" s="22">
        <f t="shared" si="16"/>
        <v>174739.68313280001</v>
      </c>
    </row>
    <row r="43" spans="1:4" x14ac:dyDescent="0.3">
      <c r="A43" s="1" t="s">
        <v>68</v>
      </c>
      <c r="B43" s="4">
        <f>NPV(B44,B41:D41)</f>
        <v>93324.399208210307</v>
      </c>
      <c r="C43" s="4"/>
      <c r="D43" s="4"/>
    </row>
    <row r="44" spans="1:4" x14ac:dyDescent="0.3">
      <c r="A44" s="1" t="s">
        <v>69</v>
      </c>
      <c r="B44" s="16">
        <v>0.1</v>
      </c>
    </row>
    <row r="45" spans="1:4" x14ac:dyDescent="0.3">
      <c r="D45" s="22"/>
    </row>
    <row r="48" spans="1:4" x14ac:dyDescent="0.3">
      <c r="A48" s="2"/>
    </row>
    <row r="54" spans="1:1" x14ac:dyDescent="0.3">
      <c r="A54" s="2"/>
    </row>
  </sheetData>
  <phoneticPr fontId="1" type="noConversion"/>
  <pageMargins left="0.75" right="0.75" top="1" bottom="1" header="0.5" footer="0.5"/>
  <pageSetup orientation="portrait" horizontalDpi="4294967292" verticalDpi="4294967292" r:id="rId1"/>
  <headerFooter>
    <oddHeader>&amp;CIcome &amp; Expense Pro Forma</oddHeader>
  </headerFooter>
  <legacy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6"/>
  <sheetViews>
    <sheetView workbookViewId="0">
      <selection activeCell="C3" sqref="C3"/>
    </sheetView>
  </sheetViews>
  <sheetFormatPr defaultColWidth="8.875" defaultRowHeight="18.75" x14ac:dyDescent="0.3"/>
  <cols>
    <col min="1" max="1" width="28.125" style="1" bestFit="1" customWidth="1"/>
    <col min="2" max="2" width="13.625" style="1" bestFit="1" customWidth="1"/>
    <col min="3" max="3" width="18.625" style="1" bestFit="1" customWidth="1"/>
    <col min="4" max="4" width="37.625" style="1" customWidth="1"/>
    <col min="5" max="16384" width="8.875" style="1"/>
  </cols>
  <sheetData>
    <row r="1" spans="1:4" s="35" customFormat="1" x14ac:dyDescent="0.3">
      <c r="A1" s="35" t="s">
        <v>6</v>
      </c>
      <c r="B1" s="35" t="s">
        <v>7</v>
      </c>
      <c r="C1" s="35" t="s">
        <v>12</v>
      </c>
      <c r="D1" s="35" t="s">
        <v>11</v>
      </c>
    </row>
    <row r="3" spans="1:4" x14ac:dyDescent="0.3">
      <c r="A3" s="1" t="s">
        <v>8</v>
      </c>
      <c r="B3" s="18">
        <v>37</v>
      </c>
      <c r="C3" s="19">
        <v>480</v>
      </c>
      <c r="D3" s="1" t="s">
        <v>66</v>
      </c>
    </row>
    <row r="4" spans="1:4" x14ac:dyDescent="0.3">
      <c r="A4" s="1" t="s">
        <v>9</v>
      </c>
      <c r="B4" s="18">
        <v>75</v>
      </c>
      <c r="C4" s="19">
        <v>200</v>
      </c>
      <c r="D4" s="1" t="s">
        <v>63</v>
      </c>
    </row>
    <row r="5" spans="1:4" x14ac:dyDescent="0.3">
      <c r="A5" s="1" t="s">
        <v>10</v>
      </c>
      <c r="B5" s="18">
        <v>70</v>
      </c>
      <c r="C5" s="19">
        <v>480</v>
      </c>
      <c r="D5" s="1" t="s">
        <v>64</v>
      </c>
    </row>
    <row r="6" spans="1:4" x14ac:dyDescent="0.3">
      <c r="A6" s="1" t="s">
        <v>65</v>
      </c>
      <c r="C6" s="11">
        <f>(B3*C3)+(B4*C4)+(B5*C5)</f>
        <v>66360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Income and Expense</vt:lpstr>
      <vt:lpstr>Labor Costs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Fadem</dc:creator>
  <cp:lastModifiedBy>support</cp:lastModifiedBy>
  <dcterms:created xsi:type="dcterms:W3CDTF">2014-08-26T16:44:30Z</dcterms:created>
  <dcterms:modified xsi:type="dcterms:W3CDTF">2018-04-17T15:44:13Z</dcterms:modified>
</cp:coreProperties>
</file>